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customProperty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codeName="ThisWorkbook" autoCompressPictures="0"/>
  <bookViews>
    <workbookView xWindow="0" yWindow="0" windowWidth="25600" windowHeight="1470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4" l="1"/>
  <c r="B2" i="4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G2" i="4"/>
  <c r="AH2" i="4"/>
  <c r="AI2" i="4"/>
  <c r="AJ2" i="4"/>
  <c r="AK2" i="4"/>
  <c r="AL2" i="4"/>
  <c r="AM2" i="4"/>
  <c r="AN2" i="4"/>
  <c r="AO2" i="4"/>
  <c r="AP2" i="4"/>
  <c r="AQ2" i="4"/>
  <c r="AR2" i="4"/>
  <c r="AS2" i="4"/>
  <c r="AT2" i="4"/>
  <c r="AU2" i="4"/>
  <c r="AV2" i="4"/>
  <c r="AW2" i="4"/>
  <c r="AX2" i="4"/>
  <c r="AY2" i="4"/>
  <c r="AZ2" i="4"/>
  <c r="BA2" i="4"/>
  <c r="BB2" i="4"/>
  <c r="BC2" i="4"/>
  <c r="BD2" i="4"/>
  <c r="BE2" i="4"/>
  <c r="BF2" i="4"/>
  <c r="BG2" i="4"/>
  <c r="BH2" i="4"/>
  <c r="BI2" i="4"/>
  <c r="BJ2" i="4"/>
  <c r="BK2" i="4"/>
  <c r="BL2" i="4"/>
  <c r="BM2" i="4"/>
  <c r="BN2" i="4"/>
  <c r="BO2" i="4"/>
  <c r="BP2" i="4"/>
  <c r="BQ2" i="4"/>
  <c r="BR2" i="4"/>
  <c r="BS2" i="4"/>
  <c r="BT2" i="4"/>
  <c r="BU2" i="4"/>
  <c r="BV2" i="4"/>
  <c r="BW2" i="4"/>
  <c r="BX2" i="4"/>
  <c r="BY2" i="4"/>
  <c r="BZ2" i="4"/>
  <c r="CA2" i="4"/>
  <c r="CB2" i="4"/>
  <c r="CC2" i="4"/>
  <c r="CD2" i="4"/>
  <c r="CE2" i="4"/>
  <c r="CF2" i="4"/>
  <c r="A1" i="4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E1" i="4"/>
  <c r="AF1" i="4"/>
  <c r="AG1" i="4"/>
  <c r="AH1" i="4"/>
  <c r="AI1" i="4"/>
  <c r="AJ1" i="4"/>
  <c r="AK1" i="4"/>
  <c r="AL1" i="4"/>
  <c r="AM1" i="4"/>
  <c r="AN1" i="4"/>
  <c r="AO1" i="4"/>
  <c r="AP1" i="4"/>
  <c r="AQ1" i="4"/>
  <c r="AR1" i="4"/>
  <c r="AS1" i="4"/>
  <c r="AT1" i="4"/>
  <c r="AU1" i="4"/>
  <c r="AV1" i="4"/>
  <c r="AW1" i="4"/>
  <c r="AX1" i="4"/>
  <c r="AY1" i="4"/>
  <c r="AZ1" i="4"/>
  <c r="BA1" i="4"/>
  <c r="BB1" i="4"/>
  <c r="BC1" i="4"/>
  <c r="BD1" i="4"/>
  <c r="BE1" i="4"/>
  <c r="BF1" i="4"/>
  <c r="BG1" i="4"/>
  <c r="BH1" i="4"/>
  <c r="BI1" i="4"/>
  <c r="BJ1" i="4"/>
  <c r="BK1" i="4"/>
  <c r="BL1" i="4"/>
  <c r="BM1" i="4"/>
  <c r="BN1" i="4"/>
  <c r="BO1" i="4"/>
  <c r="BP1" i="4"/>
  <c r="BQ1" i="4"/>
  <c r="BR1" i="4"/>
  <c r="BS1" i="4"/>
  <c r="BT1" i="4"/>
  <c r="BU1" i="4"/>
  <c r="BV1" i="4"/>
  <c r="BW1" i="4"/>
  <c r="BX1" i="4"/>
  <c r="BY1" i="4"/>
  <c r="BZ1" i="4"/>
  <c r="CA1" i="4"/>
  <c r="CB1" i="4"/>
  <c r="CC1" i="4"/>
  <c r="CD1" i="4"/>
  <c r="CE1" i="4"/>
  <c r="CF1" i="4"/>
  <c r="CG1" i="4"/>
  <c r="CH1" i="4"/>
  <c r="CI1" i="4"/>
  <c r="CJ1" i="4"/>
  <c r="CK1" i="4"/>
  <c r="CL1" i="4"/>
  <c r="CM1" i="4"/>
  <c r="CN1" i="4"/>
  <c r="CO1" i="4"/>
  <c r="CP1" i="4"/>
  <c r="CQ1" i="4"/>
  <c r="CR1" i="4"/>
  <c r="CS1" i="4"/>
  <c r="CT1" i="4"/>
  <c r="CU1" i="4"/>
  <c r="CV1" i="4"/>
  <c r="CW1" i="4"/>
  <c r="CX1" i="4"/>
  <c r="CY1" i="4"/>
  <c r="CZ1" i="4"/>
  <c r="DA1" i="4"/>
  <c r="DB1" i="4"/>
  <c r="DC1" i="4"/>
  <c r="DD1" i="4"/>
  <c r="DE1" i="4"/>
  <c r="DF1" i="4"/>
  <c r="DG1" i="4"/>
  <c r="DH1" i="4"/>
  <c r="DI1" i="4"/>
  <c r="DJ1" i="4"/>
  <c r="DK1" i="4"/>
  <c r="DL1" i="4"/>
  <c r="DM1" i="4"/>
  <c r="DN1" i="4"/>
  <c r="DO1" i="4"/>
  <c r="DP1" i="4"/>
  <c r="DQ1" i="4"/>
  <c r="DR1" i="4"/>
  <c r="DS1" i="4"/>
  <c r="DT1" i="4"/>
  <c r="DU1" i="4"/>
  <c r="DV1" i="4"/>
  <c r="DW1" i="4"/>
  <c r="DX1" i="4"/>
  <c r="DY1" i="4"/>
  <c r="DZ1" i="4"/>
  <c r="EA1" i="4"/>
  <c r="EB1" i="4"/>
  <c r="EC1" i="4"/>
  <c r="ED1" i="4"/>
  <c r="EE1" i="4"/>
  <c r="EF1" i="4"/>
  <c r="EG1" i="4"/>
  <c r="EH1" i="4"/>
  <c r="EI1" i="4"/>
  <c r="EJ1" i="4"/>
  <c r="EK1" i="4"/>
  <c r="EL1" i="4"/>
  <c r="EM1" i="4"/>
  <c r="EN1" i="4"/>
  <c r="EO1" i="4"/>
  <c r="EP1" i="4"/>
  <c r="EQ1" i="4"/>
  <c r="ER1" i="4"/>
  <c r="ES1" i="4"/>
  <c r="ET1" i="4"/>
  <c r="EU1" i="4"/>
  <c r="EV1" i="4"/>
  <c r="F32" i="1"/>
</calcChain>
</file>

<file path=xl/sharedStrings.xml><?xml version="1.0" encoding="utf-8"?>
<sst xmlns="http://schemas.openxmlformats.org/spreadsheetml/2006/main" count="73" uniqueCount="66">
  <si>
    <t>Team Leader</t>
  </si>
  <si>
    <t>Teresa Bruin</t>
  </si>
  <si>
    <t>Cherie Anderson</t>
  </si>
  <si>
    <t>Larry Hudgins</t>
  </si>
  <si>
    <t>Heidi Meenen</t>
  </si>
  <si>
    <t>Celia Powell</t>
  </si>
  <si>
    <t>STS/LMETS</t>
  </si>
  <si>
    <t>School</t>
  </si>
  <si>
    <t>Cost</t>
  </si>
  <si>
    <t>Total</t>
  </si>
  <si>
    <t>Larsen</t>
  </si>
  <si>
    <t>Matheson JHS</t>
  </si>
  <si>
    <t>Media Center</t>
  </si>
  <si>
    <t>Room Number</t>
  </si>
  <si>
    <t>Wilde</t>
  </si>
  <si>
    <t>Eisenhower JHS</t>
  </si>
  <si>
    <t>C2</t>
  </si>
  <si>
    <t>Skyline HS</t>
  </si>
  <si>
    <t>Williams</t>
  </si>
  <si>
    <t>Sandberg</t>
  </si>
  <si>
    <t>Ririe</t>
  </si>
  <si>
    <t>Millcreek</t>
  </si>
  <si>
    <t>Cyprus HS</t>
  </si>
  <si>
    <t>Child</t>
  </si>
  <si>
    <t>Number of Computers</t>
  </si>
  <si>
    <t>Churchill JHS</t>
  </si>
  <si>
    <t>Mason</t>
  </si>
  <si>
    <t xml:space="preserve">Taylorsville </t>
  </si>
  <si>
    <t>Woolley</t>
  </si>
  <si>
    <t>Upland Terrace</t>
  </si>
  <si>
    <t>Phipps</t>
  </si>
  <si>
    <t>Orchard</t>
  </si>
  <si>
    <t>Gollinger</t>
  </si>
  <si>
    <t>Oakwood</t>
  </si>
  <si>
    <t>Dimick</t>
  </si>
  <si>
    <t>Monroe</t>
  </si>
  <si>
    <t>Evans</t>
  </si>
  <si>
    <t>Jefferson JHS</t>
  </si>
  <si>
    <t>Anderson</t>
  </si>
  <si>
    <t>Fremont</t>
  </si>
  <si>
    <t>Misco</t>
  </si>
  <si>
    <t>Eastwood</t>
  </si>
  <si>
    <t>Cottonwood</t>
  </si>
  <si>
    <t>Smith</t>
  </si>
  <si>
    <t>Crestview</t>
  </si>
  <si>
    <t>Springer</t>
  </si>
  <si>
    <t>Lab Computer Purchases as of 12/14/2011</t>
  </si>
  <si>
    <t>AAAAAHv+85g=</t>
  </si>
  <si>
    <t>West Kearns</t>
  </si>
  <si>
    <t>Lab 3</t>
  </si>
  <si>
    <t>Stansbury</t>
  </si>
  <si>
    <t>Silver Hills</t>
  </si>
  <si>
    <t>Roosevelt</t>
  </si>
  <si>
    <t>Pioneer</t>
  </si>
  <si>
    <t>Olympus HS</t>
  </si>
  <si>
    <t>Smedberg</t>
  </si>
  <si>
    <t>Rosecrest</t>
  </si>
  <si>
    <t>Oakridge</t>
  </si>
  <si>
    <t>Morningside</t>
  </si>
  <si>
    <t>Frost</t>
  </si>
  <si>
    <t>Main Lab</t>
  </si>
  <si>
    <t>Bonneville JHS</t>
  </si>
  <si>
    <t>Middleton</t>
  </si>
  <si>
    <t>B-1</t>
  </si>
  <si>
    <t>Cottonwood HS</t>
  </si>
  <si>
    <t>Postman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</si>
</sst>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3" x14ac:knownFonts="1">
    <font>
      <sz val="11"/>
      <color theme="1"/>
      <name val="Franklin Gothic Book"/>
      <family val="2"/>
      <scheme val="minor"/>
    </font>
    <font>
      <b/>
      <sz val="14"/>
      <color theme="1"/>
      <name val="Franklin Gothic Book"/>
      <family val="2"/>
      <scheme val="minor"/>
    </font>
    <font>
      <sz val="8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164" fontId="0" fillId="4" borderId="6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Trek">
  <a:themeElements>
    <a:clrScheme name="Concourse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Trek">
      <a:fillStyleLst>
        <a:solidFill>
          <a:schemeClr val="phClr"/>
        </a:solidFill>
        <a:gradFill rotWithShape="1"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5000"/>
                <a:shade val="85000"/>
                <a:satMod val="230000"/>
              </a:schemeClr>
            </a:gs>
            <a:gs pos="25000">
              <a:schemeClr val="phClr">
                <a:tint val="90000"/>
                <a:shade val="70000"/>
                <a:satMod val="220000"/>
              </a:schemeClr>
            </a:gs>
            <a:gs pos="50000">
              <a:schemeClr val="phClr">
                <a:tint val="90000"/>
                <a:shade val="58000"/>
                <a:satMod val="225000"/>
              </a:schemeClr>
            </a:gs>
            <a:gs pos="65000">
              <a:schemeClr val="phClr">
                <a:tint val="90000"/>
                <a:shade val="58000"/>
                <a:satMod val="225000"/>
              </a:schemeClr>
            </a:gs>
            <a:gs pos="80000">
              <a:schemeClr val="phClr">
                <a:tint val="90000"/>
                <a:shade val="69000"/>
                <a:satMod val="220000"/>
              </a:schemeClr>
            </a:gs>
            <a:gs pos="100000">
              <a:schemeClr val="phClr">
                <a:tint val="77000"/>
                <a:shade val="80000"/>
                <a:satMod val="230000"/>
              </a:schemeClr>
            </a:gs>
          </a:gsLst>
          <a:lin ang="54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0000" h="10000"/>
          </a:sp3d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bliqueTopLeft" fov="600000">
              <a:rot lat="0" lon="0" rev="0"/>
            </a:camera>
            <a:lightRig rig="balanced" dir="t">
              <a:rot lat="0" lon="0" rev="19200000"/>
            </a:lightRig>
          </a:scene3d>
          <a:sp3d contourW="12700" prstMaterial="matte">
            <a:bevelT w="60000" h="50800"/>
            <a:contourClr>
              <a:schemeClr val="phClr">
                <a:shade val="60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05000"/>
              </a:schemeClr>
            </a:duotone>
          </a:blip>
          <a:tile tx="0" ty="0" sx="95000" sy="95000" flip="none" algn="t"/>
        </a:blipFill>
        <a:blipFill>
          <a:blip xmlns:r="http://schemas.openxmlformats.org/officeDocument/2006/relationships" r:embed="rId2">
            <a:duotone>
              <a:schemeClr val="phClr">
                <a:shade val="30000"/>
                <a:satMod val="455000"/>
              </a:schemeClr>
              <a:schemeClr val="phClr">
                <a:tint val="95000"/>
                <a:satMod val="120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F32"/>
  <sheetViews>
    <sheetView tabSelected="1" workbookViewId="0">
      <selection activeCell="G16" sqref="G16"/>
    </sheetView>
  </sheetViews>
  <sheetFormatPr baseColWidth="10" defaultColWidth="8.7109375" defaultRowHeight="13" x14ac:dyDescent="0"/>
  <cols>
    <col min="1" max="1" width="16.140625" style="2" customWidth="1"/>
    <col min="2" max="2" width="15.140625" style="2" customWidth="1"/>
    <col min="3" max="3" width="13.85546875" style="2" customWidth="1"/>
    <col min="4" max="4" width="18.140625" style="2" customWidth="1"/>
    <col min="5" max="5" width="27.140625" style="2" customWidth="1"/>
    <col min="6" max="6" width="11.28515625" style="2" customWidth="1"/>
  </cols>
  <sheetData>
    <row r="1" spans="1:6" s="1" customFormat="1" ht="18" thickBot="1">
      <c r="A1" s="15" t="s">
        <v>46</v>
      </c>
      <c r="B1" s="15"/>
      <c r="C1" s="15"/>
      <c r="D1" s="15"/>
      <c r="E1" s="15"/>
      <c r="F1" s="15"/>
    </row>
    <row r="2" spans="1:6" ht="17">
      <c r="A2" s="3" t="s">
        <v>0</v>
      </c>
      <c r="B2" s="4" t="s">
        <v>7</v>
      </c>
      <c r="C2" s="4" t="s">
        <v>6</v>
      </c>
      <c r="D2" s="4" t="s">
        <v>13</v>
      </c>
      <c r="E2" s="4" t="s">
        <v>24</v>
      </c>
      <c r="F2" s="5" t="s">
        <v>8</v>
      </c>
    </row>
    <row r="3" spans="1:6">
      <c r="A3" s="6" t="s">
        <v>2</v>
      </c>
      <c r="B3" s="7" t="s">
        <v>35</v>
      </c>
      <c r="C3" s="7" t="s">
        <v>36</v>
      </c>
      <c r="D3" s="7">
        <v>226</v>
      </c>
      <c r="E3" s="7">
        <v>35</v>
      </c>
      <c r="F3" s="8">
        <v>15750.35</v>
      </c>
    </row>
    <row r="4" spans="1:6">
      <c r="A4" s="6"/>
      <c r="B4" s="7" t="s">
        <v>42</v>
      </c>
      <c r="C4" s="7" t="s">
        <v>43</v>
      </c>
      <c r="D4" s="7">
        <v>3</v>
      </c>
      <c r="E4" s="7">
        <v>33</v>
      </c>
      <c r="F4" s="8">
        <v>14850.33</v>
      </c>
    </row>
    <row r="5" spans="1:6">
      <c r="A5" s="6"/>
      <c r="B5" s="7" t="s">
        <v>50</v>
      </c>
      <c r="C5" s="7"/>
      <c r="D5" s="7">
        <v>9</v>
      </c>
      <c r="E5" s="7">
        <v>40</v>
      </c>
      <c r="F5" s="8">
        <v>18000</v>
      </c>
    </row>
    <row r="6" spans="1:6">
      <c r="A6" s="6"/>
      <c r="B6" s="7" t="s">
        <v>51</v>
      </c>
      <c r="C6" s="7"/>
      <c r="D6" s="7">
        <v>113</v>
      </c>
      <c r="E6" s="7">
        <v>40</v>
      </c>
      <c r="F6" s="8">
        <v>18000</v>
      </c>
    </row>
    <row r="7" spans="1:6">
      <c r="A7" s="6"/>
      <c r="B7" s="7" t="s">
        <v>52</v>
      </c>
      <c r="C7" s="7"/>
      <c r="D7" s="7">
        <v>22</v>
      </c>
      <c r="E7" s="7">
        <v>30</v>
      </c>
      <c r="F7" s="8">
        <v>13500.3</v>
      </c>
    </row>
    <row r="8" spans="1:6">
      <c r="A8" s="6"/>
      <c r="B8" s="7" t="s">
        <v>53</v>
      </c>
      <c r="C8" s="7"/>
      <c r="D8" s="7">
        <v>20</v>
      </c>
      <c r="E8" s="7">
        <v>34</v>
      </c>
      <c r="F8" s="8">
        <v>15300.34</v>
      </c>
    </row>
    <row r="9" spans="1:6">
      <c r="A9" s="6"/>
      <c r="B9" s="7" t="s">
        <v>59</v>
      </c>
      <c r="C9" s="7"/>
      <c r="D9" s="7" t="s">
        <v>60</v>
      </c>
      <c r="E9" s="7">
        <v>35</v>
      </c>
      <c r="F9" s="8">
        <v>15750.35</v>
      </c>
    </row>
    <row r="10" spans="1:6">
      <c r="A10" s="9" t="s">
        <v>1</v>
      </c>
      <c r="B10" s="10" t="s">
        <v>19</v>
      </c>
      <c r="C10" s="10" t="s">
        <v>20</v>
      </c>
      <c r="D10" s="10">
        <v>18</v>
      </c>
      <c r="E10" s="10">
        <v>40</v>
      </c>
      <c r="F10" s="11">
        <v>15300.34</v>
      </c>
    </row>
    <row r="11" spans="1:6">
      <c r="A11" s="9"/>
      <c r="B11" s="10" t="s">
        <v>21</v>
      </c>
      <c r="C11" s="10" t="s">
        <v>20</v>
      </c>
      <c r="D11" s="10">
        <v>24</v>
      </c>
      <c r="E11" s="10">
        <v>35</v>
      </c>
      <c r="F11" s="11">
        <v>15750.35</v>
      </c>
    </row>
    <row r="12" spans="1:6">
      <c r="A12" s="9"/>
      <c r="B12" s="10" t="s">
        <v>27</v>
      </c>
      <c r="C12" s="10" t="s">
        <v>28</v>
      </c>
      <c r="D12" s="10">
        <v>23</v>
      </c>
      <c r="E12" s="10">
        <v>35</v>
      </c>
      <c r="F12" s="11">
        <v>15750.35</v>
      </c>
    </row>
    <row r="13" spans="1:6">
      <c r="A13" s="9"/>
      <c r="B13" s="10" t="s">
        <v>29</v>
      </c>
      <c r="C13" s="10" t="s">
        <v>30</v>
      </c>
      <c r="D13" s="10">
        <v>213</v>
      </c>
      <c r="E13" s="10">
        <v>35</v>
      </c>
      <c r="F13" s="11">
        <v>15750.35</v>
      </c>
    </row>
    <row r="14" spans="1:6">
      <c r="A14" s="9"/>
      <c r="B14" s="10" t="s">
        <v>31</v>
      </c>
      <c r="C14" s="10" t="s">
        <v>32</v>
      </c>
      <c r="D14" s="10">
        <v>6</v>
      </c>
      <c r="E14" s="10">
        <v>35</v>
      </c>
      <c r="F14" s="11">
        <v>19775.349999999999</v>
      </c>
    </row>
    <row r="15" spans="1:6">
      <c r="A15" s="9"/>
      <c r="B15" s="10" t="s">
        <v>48</v>
      </c>
      <c r="C15" s="10" t="s">
        <v>30</v>
      </c>
      <c r="D15" s="10" t="s">
        <v>49</v>
      </c>
      <c r="E15" s="10">
        <v>33</v>
      </c>
      <c r="F15" s="11">
        <v>14850.33</v>
      </c>
    </row>
    <row r="16" spans="1:6">
      <c r="A16" s="6" t="s">
        <v>3</v>
      </c>
      <c r="B16" s="7" t="s">
        <v>22</v>
      </c>
      <c r="C16" s="7" t="s">
        <v>23</v>
      </c>
      <c r="D16" s="7" t="s">
        <v>12</v>
      </c>
      <c r="E16" s="7">
        <v>40</v>
      </c>
      <c r="F16" s="8">
        <v>18000</v>
      </c>
    </row>
    <row r="17" spans="1:6">
      <c r="A17" s="6"/>
      <c r="B17" s="7" t="s">
        <v>37</v>
      </c>
      <c r="C17" s="7" t="s">
        <v>38</v>
      </c>
      <c r="D17" s="7">
        <v>110</v>
      </c>
      <c r="E17" s="7">
        <v>40</v>
      </c>
      <c r="F17" s="8">
        <v>18000</v>
      </c>
    </row>
    <row r="18" spans="1:6">
      <c r="A18" s="9" t="s">
        <v>4</v>
      </c>
      <c r="B18" s="10" t="s">
        <v>33</v>
      </c>
      <c r="C18" s="10" t="s">
        <v>34</v>
      </c>
      <c r="D18" s="10">
        <v>216</v>
      </c>
      <c r="E18" s="10">
        <v>35</v>
      </c>
      <c r="F18" s="11">
        <v>15750.35</v>
      </c>
    </row>
    <row r="19" spans="1:6">
      <c r="A19" s="9"/>
      <c r="B19" s="10" t="s">
        <v>39</v>
      </c>
      <c r="C19" s="10" t="s">
        <v>40</v>
      </c>
      <c r="D19" s="10">
        <v>12</v>
      </c>
      <c r="E19" s="10">
        <v>35</v>
      </c>
      <c r="F19" s="11">
        <v>15750.35</v>
      </c>
    </row>
    <row r="20" spans="1:6">
      <c r="A20" s="9"/>
      <c r="B20" s="10" t="s">
        <v>41</v>
      </c>
      <c r="C20" s="10" t="s">
        <v>40</v>
      </c>
      <c r="D20" s="10">
        <v>9</v>
      </c>
      <c r="E20" s="10">
        <v>35</v>
      </c>
      <c r="F20" s="11">
        <v>15750.35</v>
      </c>
    </row>
    <row r="21" spans="1:6">
      <c r="A21" s="9"/>
      <c r="B21" s="10" t="s">
        <v>44</v>
      </c>
      <c r="C21" s="10" t="s">
        <v>45</v>
      </c>
      <c r="D21" s="10">
        <v>103</v>
      </c>
      <c r="E21" s="10">
        <v>35</v>
      </c>
      <c r="F21" s="11">
        <v>15750.35</v>
      </c>
    </row>
    <row r="22" spans="1:6">
      <c r="A22" s="9"/>
      <c r="B22" s="10" t="s">
        <v>56</v>
      </c>
      <c r="C22" s="10"/>
      <c r="D22" s="10">
        <v>1</v>
      </c>
      <c r="E22" s="10">
        <v>32</v>
      </c>
      <c r="F22" s="11">
        <v>14400.32</v>
      </c>
    </row>
    <row r="23" spans="1:6">
      <c r="A23" s="9"/>
      <c r="B23" s="10" t="s">
        <v>57</v>
      </c>
      <c r="C23" s="10"/>
      <c r="D23" s="10">
        <v>12</v>
      </c>
      <c r="E23" s="10">
        <v>35</v>
      </c>
      <c r="F23" s="11">
        <v>15750.35</v>
      </c>
    </row>
    <row r="24" spans="1:6">
      <c r="A24" s="9"/>
      <c r="B24" s="10" t="s">
        <v>58</v>
      </c>
      <c r="C24" s="10"/>
      <c r="D24" s="10">
        <v>6</v>
      </c>
      <c r="E24" s="10">
        <v>35</v>
      </c>
      <c r="F24" s="11">
        <v>15750.35</v>
      </c>
    </row>
    <row r="25" spans="1:6">
      <c r="A25" s="6" t="s">
        <v>5</v>
      </c>
      <c r="B25" s="7" t="s">
        <v>11</v>
      </c>
      <c r="C25" s="7" t="s">
        <v>10</v>
      </c>
      <c r="D25" s="7" t="s">
        <v>12</v>
      </c>
      <c r="E25" s="7">
        <v>40</v>
      </c>
      <c r="F25" s="8">
        <v>18000</v>
      </c>
    </row>
    <row r="26" spans="1:6">
      <c r="A26" s="6"/>
      <c r="B26" s="7" t="s">
        <v>15</v>
      </c>
      <c r="C26" s="7" t="s">
        <v>14</v>
      </c>
      <c r="D26" s="7" t="s">
        <v>16</v>
      </c>
      <c r="E26" s="7">
        <v>39</v>
      </c>
      <c r="F26" s="8">
        <v>17550.39</v>
      </c>
    </row>
    <row r="27" spans="1:6">
      <c r="A27" s="6"/>
      <c r="B27" s="7" t="s">
        <v>17</v>
      </c>
      <c r="C27" s="7" t="s">
        <v>18</v>
      </c>
      <c r="D27" s="7" t="s">
        <v>12</v>
      </c>
      <c r="E27" s="7">
        <v>40</v>
      </c>
      <c r="F27" s="8">
        <v>18000</v>
      </c>
    </row>
    <row r="28" spans="1:6">
      <c r="A28" s="6"/>
      <c r="B28" s="7" t="s">
        <v>54</v>
      </c>
      <c r="C28" s="7" t="s">
        <v>55</v>
      </c>
      <c r="D28" s="7" t="s">
        <v>12</v>
      </c>
      <c r="E28" s="7">
        <v>40</v>
      </c>
      <c r="F28" s="8">
        <v>18000</v>
      </c>
    </row>
    <row r="29" spans="1:6">
      <c r="A29" s="6"/>
      <c r="B29" s="7" t="s">
        <v>64</v>
      </c>
      <c r="C29" s="7" t="s">
        <v>65</v>
      </c>
      <c r="D29" s="7" t="s">
        <v>12</v>
      </c>
      <c r="E29" s="7">
        <v>39</v>
      </c>
      <c r="F29" s="8">
        <v>17550.39</v>
      </c>
    </row>
    <row r="30" spans="1:6">
      <c r="A30" s="6"/>
      <c r="B30" s="7" t="s">
        <v>61</v>
      </c>
      <c r="C30" s="7" t="s">
        <v>62</v>
      </c>
      <c r="D30" s="7" t="s">
        <v>63</v>
      </c>
      <c r="E30" s="7">
        <v>39</v>
      </c>
      <c r="F30" s="8">
        <v>17550.39</v>
      </c>
    </row>
    <row r="31" spans="1:6">
      <c r="A31" s="6"/>
      <c r="B31" s="7" t="s">
        <v>25</v>
      </c>
      <c r="C31" s="7" t="s">
        <v>26</v>
      </c>
      <c r="D31" s="7">
        <v>315</v>
      </c>
      <c r="E31" s="7">
        <v>40</v>
      </c>
      <c r="F31" s="8">
        <v>18000</v>
      </c>
    </row>
    <row r="32" spans="1:6" ht="14" thickBot="1">
      <c r="A32" s="12" t="s">
        <v>9</v>
      </c>
      <c r="B32" s="13"/>
      <c r="C32" s="13"/>
      <c r="D32" s="13"/>
      <c r="E32" s="13"/>
      <c r="F32" s="14">
        <f>SUM(F3:F31)</f>
        <v>477882.32999999996</v>
      </c>
    </row>
  </sheetData>
  <mergeCells count="1">
    <mergeCell ref="A1:F1"/>
  </mergeCells>
  <phoneticPr fontId="2" type="noConversion"/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7109375" defaultRowHeight="13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7109375" defaultRowHeight="13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EW2"/>
  <sheetViews>
    <sheetView workbookViewId="0">
      <selection activeCell="EW1" sqref="EW1"/>
    </sheetView>
  </sheetViews>
  <sheetFormatPr baseColWidth="10" defaultColWidth="8.7109375" defaultRowHeight="13" x14ac:dyDescent="0"/>
  <sheetData>
    <row r="1" spans="1:153">
      <c r="A1" t="e">
        <f>IF(Sheet1!1:1,"AAAAAHv+8wA=",0)</f>
        <v>#VALUE!</v>
      </c>
      <c r="B1" t="e">
        <f>AND(Sheet1!A1,"AAAAAHv+8wE=")</f>
        <v>#VALUE!</v>
      </c>
      <c r="C1" t="e">
        <f>AND(Sheet1!B1,"AAAAAHv+8wI=")</f>
        <v>#VALUE!</v>
      </c>
      <c r="D1" t="e">
        <f>AND(Sheet1!C1,"AAAAAHv+8wM=")</f>
        <v>#VALUE!</v>
      </c>
      <c r="E1" t="e">
        <f>AND(Sheet1!D1,"AAAAAHv+8wQ=")</f>
        <v>#VALUE!</v>
      </c>
      <c r="F1" t="e">
        <f>AND(Sheet1!E1,"AAAAAHv+8wU=")</f>
        <v>#VALUE!</v>
      </c>
      <c r="G1" t="e">
        <f>AND(Sheet1!F1,"AAAAAHv+8wY=")</f>
        <v>#VALUE!</v>
      </c>
      <c r="H1">
        <f>IF(Sheet1!2:2,"AAAAAHv+8wc=",0)</f>
        <v>0</v>
      </c>
      <c r="I1" t="e">
        <f>AND(Sheet1!A2,"AAAAAHv+8wg=")</f>
        <v>#VALUE!</v>
      </c>
      <c r="J1" t="e">
        <f>AND(Sheet1!B2,"AAAAAHv+8wk=")</f>
        <v>#VALUE!</v>
      </c>
      <c r="K1" t="e">
        <f>AND(Sheet1!C2,"AAAAAHv+8wo=")</f>
        <v>#VALUE!</v>
      </c>
      <c r="L1" t="e">
        <f>AND(Sheet1!D2,"AAAAAHv+8ws=")</f>
        <v>#VALUE!</v>
      </c>
      <c r="M1" t="e">
        <f>AND(Sheet1!E2,"AAAAAHv+8ww=")</f>
        <v>#VALUE!</v>
      </c>
      <c r="N1" t="e">
        <f>AND(Sheet1!F2,"AAAAAHv+8w0=")</f>
        <v>#VALUE!</v>
      </c>
      <c r="O1">
        <f>IF(Sheet1!3:3,"AAAAAHv+8w4=",0)</f>
        <v>0</v>
      </c>
      <c r="P1" t="e">
        <f>AND(Sheet1!A3,"AAAAAHv+8w8=")</f>
        <v>#VALUE!</v>
      </c>
      <c r="Q1" t="e">
        <f>AND(Sheet1!B3,"AAAAAHv+8xA=")</f>
        <v>#VALUE!</v>
      </c>
      <c r="R1" t="e">
        <f>AND(Sheet1!C3,"AAAAAHv+8xE=")</f>
        <v>#VALUE!</v>
      </c>
      <c r="S1" t="e">
        <f>AND(Sheet1!D3,"AAAAAHv+8xI=")</f>
        <v>#VALUE!</v>
      </c>
      <c r="T1" t="e">
        <f>AND(Sheet1!E3,"AAAAAHv+8xM=")</f>
        <v>#VALUE!</v>
      </c>
      <c r="U1" t="e">
        <f>AND(Sheet1!F3,"AAAAAHv+8xQ=")</f>
        <v>#VALUE!</v>
      </c>
      <c r="V1">
        <f>IF(Sheet1!4:4,"AAAAAHv+8xU=",0)</f>
        <v>0</v>
      </c>
      <c r="W1" t="e">
        <f>AND(Sheet1!A4,"AAAAAHv+8xY=")</f>
        <v>#VALUE!</v>
      </c>
      <c r="X1" t="e">
        <f>AND(Sheet1!B4,"AAAAAHv+8xc=")</f>
        <v>#VALUE!</v>
      </c>
      <c r="Y1" t="e">
        <f>AND(Sheet1!C4,"AAAAAHv+8xg=")</f>
        <v>#VALUE!</v>
      </c>
      <c r="Z1" t="e">
        <f>AND(Sheet1!D4,"AAAAAHv+8xk=")</f>
        <v>#VALUE!</v>
      </c>
      <c r="AA1" t="e">
        <f>AND(Sheet1!E4,"AAAAAHv+8xo=")</f>
        <v>#VALUE!</v>
      </c>
      <c r="AB1" t="e">
        <f>AND(Sheet1!F4,"AAAAAHv+8xs=")</f>
        <v>#VALUE!</v>
      </c>
      <c r="AC1">
        <f>IF(Sheet1!10:10,"AAAAAHv+8xw=",0)</f>
        <v>0</v>
      </c>
      <c r="AD1" t="e">
        <f>AND(Sheet1!A10,"AAAAAHv+8x0=")</f>
        <v>#VALUE!</v>
      </c>
      <c r="AE1" t="e">
        <f>AND(Sheet1!B10,"AAAAAHv+8x4=")</f>
        <v>#VALUE!</v>
      </c>
      <c r="AF1" t="e">
        <f>AND(Sheet1!C10,"AAAAAHv+8x8=")</f>
        <v>#VALUE!</v>
      </c>
      <c r="AG1" t="e">
        <f>AND(Sheet1!D10,"AAAAAHv+8yA=")</f>
        <v>#VALUE!</v>
      </c>
      <c r="AH1" t="e">
        <f>AND(Sheet1!E10,"AAAAAHv+8yE=")</f>
        <v>#VALUE!</v>
      </c>
      <c r="AI1" t="e">
        <f>AND(Sheet1!F10,"AAAAAHv+8yI=")</f>
        <v>#VALUE!</v>
      </c>
      <c r="AJ1">
        <f>IF(Sheet1!11:11,"AAAAAHv+8yM=",0)</f>
        <v>0</v>
      </c>
      <c r="AK1" t="e">
        <f>AND(Sheet1!A11,"AAAAAHv+8yQ=")</f>
        <v>#VALUE!</v>
      </c>
      <c r="AL1" t="e">
        <f>AND(Sheet1!B11,"AAAAAHv+8yU=")</f>
        <v>#VALUE!</v>
      </c>
      <c r="AM1" t="e">
        <f>AND(Sheet1!C11,"AAAAAHv+8yY=")</f>
        <v>#VALUE!</v>
      </c>
      <c r="AN1" t="e">
        <f>AND(Sheet1!D11,"AAAAAHv+8yc=")</f>
        <v>#VALUE!</v>
      </c>
      <c r="AO1" t="e">
        <f>AND(Sheet1!E11,"AAAAAHv+8yg=")</f>
        <v>#VALUE!</v>
      </c>
      <c r="AP1" t="e">
        <f>AND(Sheet1!F11,"AAAAAHv+8yk=")</f>
        <v>#VALUE!</v>
      </c>
      <c r="AQ1">
        <f>IF(Sheet1!12:12,"AAAAAHv+8yo=",0)</f>
        <v>0</v>
      </c>
      <c r="AR1" t="e">
        <f>AND(Sheet1!A12,"AAAAAHv+8ys=")</f>
        <v>#VALUE!</v>
      </c>
      <c r="AS1" t="e">
        <f>AND(Sheet1!B12,"AAAAAHv+8yw=")</f>
        <v>#VALUE!</v>
      </c>
      <c r="AT1" t="e">
        <f>AND(Sheet1!C12,"AAAAAHv+8y0=")</f>
        <v>#VALUE!</v>
      </c>
      <c r="AU1" t="e">
        <f>AND(Sheet1!D12,"AAAAAHv+8y4=")</f>
        <v>#VALUE!</v>
      </c>
      <c r="AV1" t="e">
        <f>AND(Sheet1!E12,"AAAAAHv+8y8=")</f>
        <v>#VALUE!</v>
      </c>
      <c r="AW1" t="e">
        <f>AND(Sheet1!F12,"AAAAAHv+8zA=")</f>
        <v>#VALUE!</v>
      </c>
      <c r="AX1">
        <f>IF(Sheet1!13:13,"AAAAAHv+8zE=",0)</f>
        <v>0</v>
      </c>
      <c r="AY1" t="e">
        <f>AND(Sheet1!A13,"AAAAAHv+8zI=")</f>
        <v>#VALUE!</v>
      </c>
      <c r="AZ1" t="e">
        <f>AND(Sheet1!B13,"AAAAAHv+8zM=")</f>
        <v>#VALUE!</v>
      </c>
      <c r="BA1" t="e">
        <f>AND(Sheet1!C13,"AAAAAHv+8zQ=")</f>
        <v>#VALUE!</v>
      </c>
      <c r="BB1" t="e">
        <f>AND(Sheet1!D13,"AAAAAHv+8zU=")</f>
        <v>#VALUE!</v>
      </c>
      <c r="BC1" t="e">
        <f>AND(Sheet1!E13,"AAAAAHv+8zY=")</f>
        <v>#VALUE!</v>
      </c>
      <c r="BD1" t="e">
        <f>AND(Sheet1!F13,"AAAAAHv+8zc=")</f>
        <v>#VALUE!</v>
      </c>
      <c r="BE1">
        <f>IF(Sheet1!14:14,"AAAAAHv+8zg=",0)</f>
        <v>0</v>
      </c>
      <c r="BF1" t="e">
        <f>AND(Sheet1!A14,"AAAAAHv+8zk=")</f>
        <v>#VALUE!</v>
      </c>
      <c r="BG1" t="e">
        <f>AND(Sheet1!B14,"AAAAAHv+8zo=")</f>
        <v>#VALUE!</v>
      </c>
      <c r="BH1" t="e">
        <f>AND(Sheet1!C14,"AAAAAHv+8zs=")</f>
        <v>#VALUE!</v>
      </c>
      <c r="BI1" t="e">
        <f>AND(Sheet1!D14,"AAAAAHv+8zw=")</f>
        <v>#VALUE!</v>
      </c>
      <c r="BJ1" t="e">
        <f>AND(Sheet1!E14,"AAAAAHv+8z0=")</f>
        <v>#VALUE!</v>
      </c>
      <c r="BK1" t="e">
        <f>AND(Sheet1!F14,"AAAAAHv+8z4=")</f>
        <v>#VALUE!</v>
      </c>
      <c r="BL1">
        <f>IF(Sheet1!16:16,"AAAAAHv+8z8=",0)</f>
        <v>0</v>
      </c>
      <c r="BM1" t="e">
        <f>AND(Sheet1!A16,"AAAAAHv+80A=")</f>
        <v>#VALUE!</v>
      </c>
      <c r="BN1" t="e">
        <f>AND(Sheet1!B16,"AAAAAHv+80E=")</f>
        <v>#VALUE!</v>
      </c>
      <c r="BO1" t="e">
        <f>AND(Sheet1!C16,"AAAAAHv+80I=")</f>
        <v>#VALUE!</v>
      </c>
      <c r="BP1" t="e">
        <f>AND(Sheet1!D16,"AAAAAHv+80M=")</f>
        <v>#VALUE!</v>
      </c>
      <c r="BQ1" t="e">
        <f>AND(Sheet1!E16,"AAAAAHv+80Q=")</f>
        <v>#VALUE!</v>
      </c>
      <c r="BR1" t="e">
        <f>AND(Sheet1!F16,"AAAAAHv+80U=")</f>
        <v>#VALUE!</v>
      </c>
      <c r="BS1">
        <f>IF(Sheet1!17:17,"AAAAAHv+80Y=",0)</f>
        <v>0</v>
      </c>
      <c r="BT1" t="e">
        <f>AND(Sheet1!A17,"AAAAAHv+80c=")</f>
        <v>#VALUE!</v>
      </c>
      <c r="BU1" t="e">
        <f>AND(Sheet1!B17,"AAAAAHv+80g=")</f>
        <v>#VALUE!</v>
      </c>
      <c r="BV1" t="e">
        <f>AND(Sheet1!C17,"AAAAAHv+80k=")</f>
        <v>#VALUE!</v>
      </c>
      <c r="BW1" t="e">
        <f>AND(Sheet1!D17,"AAAAAHv+80o=")</f>
        <v>#VALUE!</v>
      </c>
      <c r="BX1" t="e">
        <f>AND(Sheet1!E17,"AAAAAHv+80s=")</f>
        <v>#VALUE!</v>
      </c>
      <c r="BY1" t="e">
        <f>AND(Sheet1!F17,"AAAAAHv+80w=")</f>
        <v>#VALUE!</v>
      </c>
      <c r="BZ1">
        <f>IF(Sheet1!18:18,"AAAAAHv+800=",0)</f>
        <v>0</v>
      </c>
      <c r="CA1" t="e">
        <f>AND(Sheet1!A18,"AAAAAHv+804=")</f>
        <v>#VALUE!</v>
      </c>
      <c r="CB1" t="e">
        <f>AND(Sheet1!B18,"AAAAAHv+808=")</f>
        <v>#VALUE!</v>
      </c>
      <c r="CC1" t="e">
        <f>AND(Sheet1!C18,"AAAAAHv+81A=")</f>
        <v>#VALUE!</v>
      </c>
      <c r="CD1" t="e">
        <f>AND(Sheet1!D18,"AAAAAHv+81E=")</f>
        <v>#VALUE!</v>
      </c>
      <c r="CE1" t="e">
        <f>AND(Sheet1!E18,"AAAAAHv+81I=")</f>
        <v>#VALUE!</v>
      </c>
      <c r="CF1" t="e">
        <f>AND(Sheet1!F18,"AAAAAHv+81M=")</f>
        <v>#VALUE!</v>
      </c>
      <c r="CG1">
        <f>IF(Sheet1!19:19,"AAAAAHv+81Q=",0)</f>
        <v>0</v>
      </c>
      <c r="CH1" t="e">
        <f>AND(Sheet1!A19,"AAAAAHv+81U=")</f>
        <v>#VALUE!</v>
      </c>
      <c r="CI1" t="e">
        <f>AND(Sheet1!B19,"AAAAAHv+81Y=")</f>
        <v>#VALUE!</v>
      </c>
      <c r="CJ1" t="e">
        <f>AND(Sheet1!C19,"AAAAAHv+81c=")</f>
        <v>#VALUE!</v>
      </c>
      <c r="CK1" t="e">
        <f>AND(Sheet1!D19,"AAAAAHv+81g=")</f>
        <v>#VALUE!</v>
      </c>
      <c r="CL1" t="e">
        <f>AND(Sheet1!E19,"AAAAAHv+81k=")</f>
        <v>#VALUE!</v>
      </c>
      <c r="CM1" t="e">
        <f>AND(Sheet1!F19,"AAAAAHv+81o=")</f>
        <v>#VALUE!</v>
      </c>
      <c r="CN1">
        <f>IF(Sheet1!20:20,"AAAAAHv+81s=",0)</f>
        <v>0</v>
      </c>
      <c r="CO1" t="e">
        <f>AND(Sheet1!A20,"AAAAAHv+81w=")</f>
        <v>#VALUE!</v>
      </c>
      <c r="CP1" t="e">
        <f>AND(Sheet1!B20,"AAAAAHv+810=")</f>
        <v>#VALUE!</v>
      </c>
      <c r="CQ1" t="e">
        <f>AND(Sheet1!C20,"AAAAAHv+814=")</f>
        <v>#VALUE!</v>
      </c>
      <c r="CR1" t="e">
        <f>AND(Sheet1!D20,"AAAAAHv+818=")</f>
        <v>#VALUE!</v>
      </c>
      <c r="CS1" t="e">
        <f>AND(Sheet1!E20,"AAAAAHv+82A=")</f>
        <v>#VALUE!</v>
      </c>
      <c r="CT1" t="e">
        <f>AND(Sheet1!F20,"AAAAAHv+82E=")</f>
        <v>#VALUE!</v>
      </c>
      <c r="CU1">
        <f>IF(Sheet1!21:21,"AAAAAHv+82I=",0)</f>
        <v>0</v>
      </c>
      <c r="CV1" t="e">
        <f>AND(Sheet1!A21,"AAAAAHv+82M=")</f>
        <v>#VALUE!</v>
      </c>
      <c r="CW1" t="e">
        <f>AND(Sheet1!B21,"AAAAAHv+82Q=")</f>
        <v>#VALUE!</v>
      </c>
      <c r="CX1" t="e">
        <f>AND(Sheet1!C21,"AAAAAHv+82U=")</f>
        <v>#VALUE!</v>
      </c>
      <c r="CY1" t="e">
        <f>AND(Sheet1!D21,"AAAAAHv+82Y=")</f>
        <v>#VALUE!</v>
      </c>
      <c r="CZ1" t="e">
        <f>AND(Sheet1!E21,"AAAAAHv+82c=")</f>
        <v>#VALUE!</v>
      </c>
      <c r="DA1" t="e">
        <f>AND(Sheet1!F21,"AAAAAHv+82g=")</f>
        <v>#VALUE!</v>
      </c>
      <c r="DB1">
        <f>IF(Sheet1!25:25,"AAAAAHv+82k=",0)</f>
        <v>0</v>
      </c>
      <c r="DC1" t="e">
        <f>AND(Sheet1!A25,"AAAAAHv+82o=")</f>
        <v>#VALUE!</v>
      </c>
      <c r="DD1" t="e">
        <f>AND(Sheet1!B25,"AAAAAHv+82s=")</f>
        <v>#VALUE!</v>
      </c>
      <c r="DE1" t="e">
        <f>AND(Sheet1!C25,"AAAAAHv+82w=")</f>
        <v>#VALUE!</v>
      </c>
      <c r="DF1" t="e">
        <f>AND(Sheet1!D25,"AAAAAHv+820=")</f>
        <v>#VALUE!</v>
      </c>
      <c r="DG1" t="e">
        <f>AND(Sheet1!E25,"AAAAAHv+824=")</f>
        <v>#VALUE!</v>
      </c>
      <c r="DH1" t="e">
        <f>AND(Sheet1!F25,"AAAAAHv+828=")</f>
        <v>#VALUE!</v>
      </c>
      <c r="DI1">
        <f>IF(Sheet1!26:26,"AAAAAHv+83A=",0)</f>
        <v>0</v>
      </c>
      <c r="DJ1" t="e">
        <f>AND(Sheet1!A26,"AAAAAHv+83E=")</f>
        <v>#VALUE!</v>
      </c>
      <c r="DK1" t="e">
        <f>AND(Sheet1!B26,"AAAAAHv+83I=")</f>
        <v>#VALUE!</v>
      </c>
      <c r="DL1" t="e">
        <f>AND(Sheet1!C26,"AAAAAHv+83M=")</f>
        <v>#VALUE!</v>
      </c>
      <c r="DM1" t="e">
        <f>AND(Sheet1!D26,"AAAAAHv+83Q=")</f>
        <v>#VALUE!</v>
      </c>
      <c r="DN1" t="e">
        <f>AND(Sheet1!E26,"AAAAAHv+83U=")</f>
        <v>#VALUE!</v>
      </c>
      <c r="DO1" t="e">
        <f>AND(Sheet1!F26,"AAAAAHv+83Y=")</f>
        <v>#VALUE!</v>
      </c>
      <c r="DP1">
        <f>IF(Sheet1!27:27,"AAAAAHv+83c=",0)</f>
        <v>0</v>
      </c>
      <c r="DQ1" t="e">
        <f>AND(Sheet1!A27,"AAAAAHv+83g=")</f>
        <v>#VALUE!</v>
      </c>
      <c r="DR1" t="e">
        <f>AND(Sheet1!B27,"AAAAAHv+83k=")</f>
        <v>#VALUE!</v>
      </c>
      <c r="DS1" t="e">
        <f>AND(Sheet1!C27,"AAAAAHv+83o=")</f>
        <v>#VALUE!</v>
      </c>
      <c r="DT1" t="e">
        <f>AND(Sheet1!D27,"AAAAAHv+83s=")</f>
        <v>#VALUE!</v>
      </c>
      <c r="DU1" t="e">
        <f>AND(Sheet1!E27,"AAAAAHv+83w=")</f>
        <v>#VALUE!</v>
      </c>
      <c r="DV1" t="e">
        <f>AND(Sheet1!F27,"AAAAAHv+830=")</f>
        <v>#VALUE!</v>
      </c>
      <c r="DW1">
        <f>IF(Sheet1!31:31,"AAAAAHv+834=",0)</f>
        <v>0</v>
      </c>
      <c r="DX1" t="e">
        <f>AND(Sheet1!A31,"AAAAAHv+838=")</f>
        <v>#VALUE!</v>
      </c>
      <c r="DY1" t="e">
        <f>AND(Sheet1!B31,"AAAAAHv+84A=")</f>
        <v>#VALUE!</v>
      </c>
      <c r="DZ1" t="e">
        <f>AND(Sheet1!C31,"AAAAAHv+84E=")</f>
        <v>#VALUE!</v>
      </c>
      <c r="EA1" t="e">
        <f>AND(Sheet1!D31,"AAAAAHv+84I=")</f>
        <v>#VALUE!</v>
      </c>
      <c r="EB1" t="e">
        <f>AND(Sheet1!E31,"AAAAAHv+84M=")</f>
        <v>#VALUE!</v>
      </c>
      <c r="EC1" t="e">
        <f>AND(Sheet1!F31,"AAAAAHv+84Q=")</f>
        <v>#VALUE!</v>
      </c>
      <c r="ED1">
        <f>IF(Sheet1!32:32,"AAAAAHv+84U=",0)</f>
        <v>0</v>
      </c>
      <c r="EE1" t="e">
        <f>AND(Sheet1!A32,"AAAAAHv+84Y=")</f>
        <v>#VALUE!</v>
      </c>
      <c r="EF1" t="e">
        <f>AND(Sheet1!B32,"AAAAAHv+84c=")</f>
        <v>#VALUE!</v>
      </c>
      <c r="EG1" t="e">
        <f>AND(Sheet1!C32,"AAAAAHv+84g=")</f>
        <v>#VALUE!</v>
      </c>
      <c r="EH1" t="e">
        <f>AND(Sheet1!D32,"AAAAAHv+84k=")</f>
        <v>#VALUE!</v>
      </c>
      <c r="EI1" t="e">
        <f>AND(Sheet1!E32,"AAAAAHv+84o=")</f>
        <v>#VALUE!</v>
      </c>
      <c r="EJ1" t="e">
        <f>AND(Sheet1!F32,"AAAAAHv+84s=")</f>
        <v>#VALUE!</v>
      </c>
      <c r="EK1" t="e">
        <f>IF(Sheet1!A:A,"AAAAAHv+84w=",0)</f>
        <v>#VALUE!</v>
      </c>
      <c r="EL1">
        <f>IF(Sheet1!B:B,"AAAAAHv+840=",0)</f>
        <v>0</v>
      </c>
      <c r="EM1">
        <f>IF(Sheet1!C:C,"AAAAAHv+844=",0)</f>
        <v>0</v>
      </c>
      <c r="EN1">
        <f>IF(Sheet1!D:D,"AAAAAHv+848=",0)</f>
        <v>0</v>
      </c>
      <c r="EO1">
        <f>IF(Sheet1!E:E,"AAAAAHv+85A=",0)</f>
        <v>0</v>
      </c>
      <c r="EP1">
        <f>IF(Sheet1!F:F,"AAAAAHv+85E=",0)</f>
        <v>0</v>
      </c>
      <c r="EQ1">
        <f>IF(Sheet2!1:1,"AAAAAHv+85I=",0)</f>
        <v>0</v>
      </c>
      <c r="ER1" t="e">
        <f>AND(Sheet2!A1,"AAAAAHv+85M=")</f>
        <v>#VALUE!</v>
      </c>
      <c r="ES1">
        <f>IF(Sheet2!A:A,"AAAAAHv+85Q=",0)</f>
        <v>0</v>
      </c>
      <c r="ET1">
        <f>IF(Sheet3!1:1,"AAAAAHv+85U=",0)</f>
        <v>0</v>
      </c>
      <c r="EU1" t="e">
        <f>AND(Sheet3!A1,"AAAAAHv+85Y=")</f>
        <v>#VALUE!</v>
      </c>
      <c r="EV1">
        <f>IF(Sheet3!A:A,"AAAAAHv+85c=",0)</f>
        <v>0</v>
      </c>
      <c r="EW1" t="s">
        <v>47</v>
      </c>
    </row>
    <row r="2" spans="1:153">
      <c r="A2">
        <f>IF(Sheet1!5:5,"AAAAAG/f7wA=",0)</f>
        <v>0</v>
      </c>
      <c r="B2" t="e">
        <f>AND(Sheet1!A5,"AAAAAG/f7wE=")</f>
        <v>#VALUE!</v>
      </c>
      <c r="C2" t="e">
        <f>AND(Sheet1!B5,"AAAAAG/f7wI=")</f>
        <v>#VALUE!</v>
      </c>
      <c r="D2" t="e">
        <f>AND(Sheet1!C5,"AAAAAG/f7wM=")</f>
        <v>#VALUE!</v>
      </c>
      <c r="E2" t="e">
        <f>AND(Sheet1!D5,"AAAAAG/f7wQ=")</f>
        <v>#VALUE!</v>
      </c>
      <c r="F2" t="e">
        <f>AND(Sheet1!E5,"AAAAAG/f7wU=")</f>
        <v>#VALUE!</v>
      </c>
      <c r="G2" t="e">
        <f>AND(Sheet1!F5,"AAAAAG/f7wY=")</f>
        <v>#VALUE!</v>
      </c>
      <c r="H2">
        <f>IF(Sheet1!6:6,"AAAAAG/f7wc=",0)</f>
        <v>0</v>
      </c>
      <c r="I2" t="e">
        <f>AND(Sheet1!A6,"AAAAAG/f7wg=")</f>
        <v>#VALUE!</v>
      </c>
      <c r="J2" t="e">
        <f>AND(Sheet1!B6,"AAAAAG/f7wk=")</f>
        <v>#VALUE!</v>
      </c>
      <c r="K2" t="e">
        <f>AND(Sheet1!C6,"AAAAAG/f7wo=")</f>
        <v>#VALUE!</v>
      </c>
      <c r="L2" t="e">
        <f>AND(Sheet1!D6,"AAAAAG/f7ws=")</f>
        <v>#VALUE!</v>
      </c>
      <c r="M2" t="e">
        <f>AND(Sheet1!E6,"AAAAAG/f7ww=")</f>
        <v>#VALUE!</v>
      </c>
      <c r="N2" t="e">
        <f>AND(Sheet1!F6,"AAAAAG/f7w0=")</f>
        <v>#VALUE!</v>
      </c>
      <c r="O2">
        <f>IF(Sheet1!7:7,"AAAAAG/f7w4=",0)</f>
        <v>0</v>
      </c>
      <c r="P2" t="e">
        <f>AND(Sheet1!A7,"AAAAAG/f7w8=")</f>
        <v>#VALUE!</v>
      </c>
      <c r="Q2" t="e">
        <f>AND(Sheet1!B7,"AAAAAG/f7xA=")</f>
        <v>#VALUE!</v>
      </c>
      <c r="R2" t="e">
        <f>AND(Sheet1!C7,"AAAAAG/f7xE=")</f>
        <v>#VALUE!</v>
      </c>
      <c r="S2" t="e">
        <f>AND(Sheet1!D7,"AAAAAG/f7xI=")</f>
        <v>#VALUE!</v>
      </c>
      <c r="T2" t="e">
        <f>AND(Sheet1!E7,"AAAAAG/f7xM=")</f>
        <v>#VALUE!</v>
      </c>
      <c r="U2" t="e">
        <f>AND(Sheet1!F7,"AAAAAG/f7xQ=")</f>
        <v>#VALUE!</v>
      </c>
      <c r="V2">
        <f>IF(Sheet1!8:8,"AAAAAG/f7xU=",0)</f>
        <v>0</v>
      </c>
      <c r="W2" t="e">
        <f>AND(Sheet1!A8,"AAAAAG/f7xY=")</f>
        <v>#VALUE!</v>
      </c>
      <c r="X2" t="e">
        <f>AND(Sheet1!B8,"AAAAAG/f7xc=")</f>
        <v>#VALUE!</v>
      </c>
      <c r="Y2" t="e">
        <f>AND(Sheet1!C8,"AAAAAG/f7xg=")</f>
        <v>#VALUE!</v>
      </c>
      <c r="Z2" t="e">
        <f>AND(Sheet1!D8,"AAAAAG/f7xk=")</f>
        <v>#VALUE!</v>
      </c>
      <c r="AA2" t="e">
        <f>AND(Sheet1!E8,"AAAAAG/f7xo=")</f>
        <v>#VALUE!</v>
      </c>
      <c r="AB2" t="e">
        <f>AND(Sheet1!F8,"AAAAAG/f7xs=")</f>
        <v>#VALUE!</v>
      </c>
      <c r="AC2">
        <f>IF(Sheet1!9:9,"AAAAAG/f7xw=",0)</f>
        <v>0</v>
      </c>
      <c r="AD2" t="e">
        <f>AND(Sheet1!A9,"AAAAAG/f7x0=")</f>
        <v>#VALUE!</v>
      </c>
      <c r="AE2" t="e">
        <f>AND(Sheet1!B9,"AAAAAG/f7x4=")</f>
        <v>#VALUE!</v>
      </c>
      <c r="AF2" t="e">
        <f>AND(Sheet1!C9,"AAAAAG/f7x8=")</f>
        <v>#VALUE!</v>
      </c>
      <c r="AG2" t="e">
        <f>AND(Sheet1!D9,"AAAAAG/f7yA=")</f>
        <v>#VALUE!</v>
      </c>
      <c r="AH2" t="e">
        <f>AND(Sheet1!E9,"AAAAAG/f7yE=")</f>
        <v>#VALUE!</v>
      </c>
      <c r="AI2" t="e">
        <f>AND(Sheet1!F9,"AAAAAG/f7yI=")</f>
        <v>#VALUE!</v>
      </c>
      <c r="AJ2">
        <f>IF(Sheet1!15:15,"AAAAAG/f7yM=",0)</f>
        <v>0</v>
      </c>
      <c r="AK2" t="e">
        <f>AND(Sheet1!A15,"AAAAAG/f7yQ=")</f>
        <v>#VALUE!</v>
      </c>
      <c r="AL2" t="e">
        <f>AND(Sheet1!B15,"AAAAAG/f7yU=")</f>
        <v>#VALUE!</v>
      </c>
      <c r="AM2" t="e">
        <f>AND(Sheet1!C15,"AAAAAG/f7yY=")</f>
        <v>#VALUE!</v>
      </c>
      <c r="AN2" t="e">
        <f>AND(Sheet1!D15,"AAAAAG/f7yc=")</f>
        <v>#VALUE!</v>
      </c>
      <c r="AO2" t="e">
        <f>AND(Sheet1!E15,"AAAAAG/f7yg=")</f>
        <v>#VALUE!</v>
      </c>
      <c r="AP2" t="e">
        <f>AND(Sheet1!F15,"AAAAAG/f7yk=")</f>
        <v>#VALUE!</v>
      </c>
      <c r="AQ2">
        <f>IF(Sheet1!22:22,"AAAAAG/f7yo=",0)</f>
        <v>0</v>
      </c>
      <c r="AR2" t="e">
        <f>AND(Sheet1!A22,"AAAAAG/f7ys=")</f>
        <v>#VALUE!</v>
      </c>
      <c r="AS2" t="e">
        <f>AND(Sheet1!B22,"AAAAAG/f7yw=")</f>
        <v>#VALUE!</v>
      </c>
      <c r="AT2" t="e">
        <f>AND(Sheet1!C22,"AAAAAG/f7y0=")</f>
        <v>#VALUE!</v>
      </c>
      <c r="AU2" t="e">
        <f>AND(Sheet1!D22,"AAAAAG/f7y4=")</f>
        <v>#VALUE!</v>
      </c>
      <c r="AV2" t="e">
        <f>AND(Sheet1!E22,"AAAAAG/f7y8=")</f>
        <v>#VALUE!</v>
      </c>
      <c r="AW2" t="e">
        <f>AND(Sheet1!F22,"AAAAAG/f7zA=")</f>
        <v>#VALUE!</v>
      </c>
      <c r="AX2">
        <f>IF(Sheet1!23:23,"AAAAAG/f7zE=",0)</f>
        <v>0</v>
      </c>
      <c r="AY2" t="e">
        <f>AND(Sheet1!A23,"AAAAAG/f7zI=")</f>
        <v>#VALUE!</v>
      </c>
      <c r="AZ2" t="e">
        <f>AND(Sheet1!B23,"AAAAAG/f7zM=")</f>
        <v>#VALUE!</v>
      </c>
      <c r="BA2" t="e">
        <f>AND(Sheet1!C23,"AAAAAG/f7zQ=")</f>
        <v>#VALUE!</v>
      </c>
      <c r="BB2" t="e">
        <f>AND(Sheet1!D23,"AAAAAG/f7zU=")</f>
        <v>#VALUE!</v>
      </c>
      <c r="BC2" t="e">
        <f>AND(Sheet1!E23,"AAAAAG/f7zY=")</f>
        <v>#VALUE!</v>
      </c>
      <c r="BD2" t="e">
        <f>AND(Sheet1!F23,"AAAAAG/f7zc=")</f>
        <v>#VALUE!</v>
      </c>
      <c r="BE2">
        <f>IF(Sheet1!24:24,"AAAAAG/f7zg=",0)</f>
        <v>0</v>
      </c>
      <c r="BF2" t="e">
        <f>AND(Sheet1!A24,"AAAAAG/f7zk=")</f>
        <v>#VALUE!</v>
      </c>
      <c r="BG2" t="e">
        <f>AND(Sheet1!B24,"AAAAAG/f7zo=")</f>
        <v>#VALUE!</v>
      </c>
      <c r="BH2" t="e">
        <f>AND(Sheet1!C24,"AAAAAG/f7zs=")</f>
        <v>#VALUE!</v>
      </c>
      <c r="BI2" t="e">
        <f>AND(Sheet1!D24,"AAAAAG/f7zw=")</f>
        <v>#VALUE!</v>
      </c>
      <c r="BJ2" t="e">
        <f>AND(Sheet1!E24,"AAAAAG/f7z0=")</f>
        <v>#VALUE!</v>
      </c>
      <c r="BK2" t="e">
        <f>AND(Sheet1!F24,"AAAAAG/f7z4=")</f>
        <v>#VALUE!</v>
      </c>
      <c r="BL2">
        <f>IF(Sheet1!28:28,"AAAAAG/f7z8=",0)</f>
        <v>0</v>
      </c>
      <c r="BM2" t="e">
        <f>AND(Sheet1!A28,"AAAAAG/f70A=")</f>
        <v>#VALUE!</v>
      </c>
      <c r="BN2" t="e">
        <f>AND(Sheet1!B28,"AAAAAG/f70E=")</f>
        <v>#VALUE!</v>
      </c>
      <c r="BO2" t="e">
        <f>AND(Sheet1!C28,"AAAAAG/f70I=")</f>
        <v>#VALUE!</v>
      </c>
      <c r="BP2" t="e">
        <f>AND(Sheet1!D28,"AAAAAG/f70M=")</f>
        <v>#VALUE!</v>
      </c>
      <c r="BQ2" t="e">
        <f>AND(Sheet1!E28,"AAAAAG/f70Q=")</f>
        <v>#VALUE!</v>
      </c>
      <c r="BR2" t="e">
        <f>AND(Sheet1!F28,"AAAAAG/f70U=")</f>
        <v>#VALUE!</v>
      </c>
      <c r="BS2">
        <f>IF(Sheet1!29:29,"AAAAAG/f70Y=",0)</f>
        <v>0</v>
      </c>
      <c r="BT2" t="e">
        <f>AND(Sheet1!A29,"AAAAAG/f70c=")</f>
        <v>#VALUE!</v>
      </c>
      <c r="BU2" t="e">
        <f>AND(Sheet1!B29,"AAAAAG/f70g=")</f>
        <v>#VALUE!</v>
      </c>
      <c r="BV2" t="e">
        <f>AND(Sheet1!C29,"AAAAAG/f70k=")</f>
        <v>#VALUE!</v>
      </c>
      <c r="BW2" t="e">
        <f>AND(Sheet1!D29,"AAAAAG/f70o=")</f>
        <v>#VALUE!</v>
      </c>
      <c r="BX2" t="e">
        <f>AND(Sheet1!E29,"AAAAAG/f70s=")</f>
        <v>#VALUE!</v>
      </c>
      <c r="BY2" t="e">
        <f>AND(Sheet1!F29,"AAAAAG/f70w=")</f>
        <v>#VALUE!</v>
      </c>
      <c r="BZ2">
        <f>IF(Sheet1!30:30,"AAAAAG/f700=",0)</f>
        <v>0</v>
      </c>
      <c r="CA2" t="e">
        <f>AND(Sheet1!A30,"AAAAAG/f704=")</f>
        <v>#VALUE!</v>
      </c>
      <c r="CB2" t="e">
        <f>AND(Sheet1!B30,"AAAAAG/f708=")</f>
        <v>#VALUE!</v>
      </c>
      <c r="CC2" t="e">
        <f>AND(Sheet1!C30,"AAAAAG/f71A=")</f>
        <v>#VALUE!</v>
      </c>
      <c r="CD2" t="e">
        <f>AND(Sheet1!D30,"AAAAAG/f71E=")</f>
        <v>#VALUE!</v>
      </c>
      <c r="CE2" t="e">
        <f>AND(Sheet1!E30,"AAAAAG/f71I=")</f>
        <v>#VALUE!</v>
      </c>
      <c r="CF2" t="e">
        <f>AND(Sheet1!F30,"AAAAAG/f71M=")</f>
        <v>#VALUE!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Granite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Hudgins</dc:creator>
  <cp:lastModifiedBy>Granite Schools</cp:lastModifiedBy>
  <cp:lastPrinted>2012-01-03T20:45:49Z</cp:lastPrinted>
  <dcterms:created xsi:type="dcterms:W3CDTF">2011-12-14T19:08:42Z</dcterms:created>
  <dcterms:modified xsi:type="dcterms:W3CDTF">2012-01-03T20:46:59Z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1SxcMAnfZ8EZs-rRGbob_cENG-eSui0jH6sl9HmluTQc</vt:lpwstr>
  </property>
  <property fmtid="{D5CDD505-2E9C-101B-9397-08002B2CF9AE}" pid="4" name="Google.Documents.RevisionId">
    <vt:lpwstr>13634177337054553007</vt:lpwstr>
  </property>
  <property fmtid="{D5CDD505-2E9C-101B-9397-08002B2CF9AE}" pid="5" name="Google.Documents.PreviousRevisionId">
    <vt:lpwstr>02202064483182280029</vt:lpwstr>
  </property>
  <property fmtid="{D5CDD505-2E9C-101B-9397-08002B2CF9AE}" pid="6" name="Google.Documents.PluginVersion">
    <vt:lpwstr>2.0.2424.7283</vt:lpwstr>
  </property>
  <property fmtid="{D5CDD505-2E9C-101B-9397-08002B2CF9AE}" pid="7" name="Google.Documents.MergeIncapabilityFlags">
    <vt:i4>0</vt:i4>
  </property>
  <property fmtid="{D5CDD505-2E9C-101B-9397-08002B2CF9AE}" pid="8" name="_AdHocReviewCycleID">
    <vt:i4>1453907787</vt:i4>
  </property>
  <property fmtid="{D5CDD505-2E9C-101B-9397-08002B2CF9AE}" pid="9" name="_NewReviewCycle">
    <vt:lpwstr/>
  </property>
  <property fmtid="{D5CDD505-2E9C-101B-9397-08002B2CF9AE}" pid="10" name="_EmailSubject">
    <vt:lpwstr>Lab Computers</vt:lpwstr>
  </property>
  <property fmtid="{D5CDD505-2E9C-101B-9397-08002B2CF9AE}" pid="11" name="_AuthorEmail">
    <vt:lpwstr>jlhudgins@graniteschools.org</vt:lpwstr>
  </property>
  <property fmtid="{D5CDD505-2E9C-101B-9397-08002B2CF9AE}" pid="12" name="_AuthorEmailDisplayName">
    <vt:lpwstr>Hudgins, James L</vt:lpwstr>
  </property>
</Properties>
</file>